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:\Дзвоник Віктор\2 Rehau (жалюзи)\2023-2025 оновлення на сайт\2025\"/>
    </mc:Choice>
  </mc:AlternateContent>
  <xr:revisionPtr revIDLastSave="0" documentId="13_ncr:1_{41889A64-307E-4F14-85EE-4DC9EBED04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ертикальне відкривання" sheetId="1" r:id="rId1"/>
    <sheet name="вертикальне з с. комп. ваги С8" sheetId="6" r:id="rId2"/>
    <sheet name="Прайс" sheetId="3" state="hidden" r:id="rId3"/>
    <sheet name="Варіанти" sheetId="2" state="hidden" r:id="rId4"/>
  </sheets>
  <definedNames>
    <definedName name="_xlnm.Print_Area" localSheetId="0">'вертикальне відкривання'!$B$1:$N$41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6" l="1"/>
  <c r="K27" i="6"/>
  <c r="K24" i="6"/>
  <c r="U23" i="6"/>
  <c r="K23" i="6" s="1"/>
  <c r="M23" i="6" s="1"/>
  <c r="K26" i="6" l="1"/>
  <c r="B29" i="6"/>
  <c r="C29" i="6" s="1"/>
  <c r="B29" i="1"/>
  <c r="C29" i="1" s="1"/>
  <c r="B28" i="6"/>
  <c r="B28" i="1"/>
  <c r="K29" i="6"/>
  <c r="K30" i="6"/>
  <c r="C28" i="6" l="1"/>
  <c r="L28" i="1"/>
  <c r="C28" i="1" l="1"/>
  <c r="K31" i="6"/>
  <c r="K28" i="6"/>
  <c r="K25" i="6"/>
  <c r="K25" i="1"/>
  <c r="K24" i="1"/>
  <c r="K23" i="1"/>
  <c r="L24" i="6"/>
  <c r="M24" i="6" s="1"/>
  <c r="L25" i="6"/>
  <c r="L26" i="6"/>
  <c r="L28" i="6"/>
  <c r="L29" i="6"/>
  <c r="L30" i="6"/>
  <c r="M30" i="6" s="1"/>
  <c r="L31" i="6"/>
  <c r="L23" i="6"/>
  <c r="K28" i="1"/>
  <c r="M26" i="6" l="1"/>
  <c r="M28" i="6"/>
  <c r="M25" i="6"/>
  <c r="M27" i="6"/>
  <c r="M29" i="6"/>
  <c r="M31" i="6"/>
  <c r="M33" i="6" l="1"/>
  <c r="L23" i="1" l="1"/>
  <c r="G22" i="3"/>
  <c r="G8" i="3"/>
  <c r="L24" i="1" l="1"/>
  <c r="L25" i="1"/>
  <c r="L26" i="1"/>
  <c r="L27" i="1"/>
  <c r="G21" i="3"/>
  <c r="G19" i="3"/>
  <c r="G18" i="3"/>
  <c r="G17" i="3"/>
  <c r="G16" i="3"/>
  <c r="G15" i="3"/>
  <c r="G14" i="3"/>
  <c r="G13" i="3"/>
  <c r="G11" i="3"/>
  <c r="G10" i="3"/>
  <c r="G9" i="3"/>
  <c r="K27" i="1" l="1"/>
  <c r="L29" i="1" l="1"/>
  <c r="K29" i="1"/>
  <c r="K26" i="1" l="1"/>
  <c r="M24" i="1" l="1"/>
  <c r="M27" i="1"/>
  <c r="M25" i="1"/>
  <c r="M26" i="1"/>
  <c r="M23" i="1"/>
  <c r="M29" i="1"/>
  <c r="M28" i="1" l="1"/>
  <c r="M31" i="1" s="1"/>
</calcChain>
</file>

<file path=xl/sharedStrings.xml><?xml version="1.0" encoding="utf-8"?>
<sst xmlns="http://schemas.openxmlformats.org/spreadsheetml/2006/main" count="108" uniqueCount="65">
  <si>
    <t>Ширина</t>
  </si>
  <si>
    <t>мм</t>
  </si>
  <si>
    <t>шт.</t>
  </si>
  <si>
    <t>Артикул Кронас</t>
  </si>
  <si>
    <t>Артикул Rehau</t>
  </si>
  <si>
    <t>2500х45мм (88ламелей)</t>
  </si>
  <si>
    <t>2500мм/20шт.</t>
  </si>
  <si>
    <t>40шт.</t>
  </si>
  <si>
    <t>20пар.</t>
  </si>
  <si>
    <t>1 шт.</t>
  </si>
  <si>
    <t>2500х45мм (8шт.)</t>
  </si>
  <si>
    <t>800х45мм (3шт.)</t>
  </si>
  <si>
    <t>1м/п</t>
  </si>
  <si>
    <t>м/п</t>
  </si>
  <si>
    <t>пара</t>
  </si>
  <si>
    <t>Артикул</t>
  </si>
  <si>
    <t>Висота</t>
  </si>
  <si>
    <t>Глибина</t>
  </si>
  <si>
    <t>Комплектуючі системи</t>
  </si>
  <si>
    <t>Найменування</t>
  </si>
  <si>
    <t>Одиниця виміру</t>
  </si>
  <si>
    <t>Кількість</t>
  </si>
  <si>
    <t>Ціна, євро</t>
  </si>
  <si>
    <t>Сума, євро</t>
  </si>
  <si>
    <t>Габарити внутрішнього отвору</t>
  </si>
  <si>
    <t xml:space="preserve">   Жалюзі для меблів RAUVOLET Interieur E23 (колір алюміній)</t>
  </si>
  <si>
    <r>
      <t xml:space="preserve">                                   </t>
    </r>
    <r>
      <rPr>
        <b/>
        <sz val="14"/>
        <color rgb="FFFF0000"/>
        <rFont val="Calibri"/>
        <family val="2"/>
        <charset val="204"/>
        <scheme val="minor"/>
      </rPr>
      <t>вертикальне відкривання</t>
    </r>
  </si>
  <si>
    <t>Cистема жалюзі для меблів RAUVOLET Interieur E23 (колір алюміній)</t>
  </si>
  <si>
    <t>Склад упаковки</t>
  </si>
  <si>
    <t>Ціна за шт/пару в грн. з ПДВ</t>
  </si>
  <si>
    <t>Ламелі/Система направляючих</t>
  </si>
  <si>
    <t>Планки під ручку/Планки декоративні</t>
  </si>
  <si>
    <t>Системи компенсації ваги</t>
  </si>
  <si>
    <r>
      <t>*Тормоз вертикальний для планки під ручку 8мм сірий (лівий+правий) (702886003)-</t>
    </r>
    <r>
      <rPr>
        <b/>
        <i/>
        <sz val="14"/>
        <color rgb="FFFF0000"/>
        <rFont val="Century Gothic"/>
        <family val="2"/>
        <charset val="204"/>
      </rPr>
      <t>для виробу з вертикальним відкриванням</t>
    </r>
  </si>
  <si>
    <t>*Стрічка клейка використовується для склеювання ламелів перпендикулярно ним. В одному виробі мінімум 2-і полоси. В широких виробах крок між полосами 300мм.</t>
  </si>
  <si>
    <t>Ламель Rauvolet E23 колір алюміній L=2500 (702758002)</t>
  </si>
  <si>
    <t>Кут накладний 90° колір світло-сірий (779950005)</t>
  </si>
  <si>
    <t>Планка під ручку колір алюміній L=2500 (702832002)</t>
  </si>
  <si>
    <t>Планка під ручку колір алюміній L=800 (702832)</t>
  </si>
  <si>
    <t>Планка декоративна колір алюміній L=2500 (702825002)</t>
  </si>
  <si>
    <t>Планка декоративная колір алюміній L=800 (702825)</t>
  </si>
  <si>
    <r>
      <t>*Повзунок для планки під ручку 8мм колір світло-сірий (лівий+правий) (793238003)-</t>
    </r>
    <r>
      <rPr>
        <b/>
        <sz val="12"/>
        <color rgb="FFFF0000"/>
        <rFont val="Century Gothic"/>
        <family val="2"/>
        <charset val="204"/>
      </rPr>
      <t>горизонтальне відкривання</t>
    </r>
  </si>
  <si>
    <r>
      <t>*Тормоз вертикальний для планки під ручку 8мм колір світло-сірий (универсальний) (702886003)-</t>
    </r>
    <r>
      <rPr>
        <b/>
        <sz val="12"/>
        <color rgb="FFFF0000"/>
        <rFont val="Century Gothic"/>
        <family val="2"/>
        <charset val="204"/>
      </rPr>
      <t>вертикальне відкривання</t>
    </r>
  </si>
  <si>
    <t>Планка декоративна колір алюміній L=800 (702825)</t>
  </si>
  <si>
    <t>Тормоз вертикальний для планки під ручку 8мм колір світло-сірий (універсальний) (702886003)-вертикальне відкривання</t>
  </si>
  <si>
    <t>Стрічка клейка м/п (793039001)</t>
  </si>
  <si>
    <t>Всього:</t>
  </si>
  <si>
    <t>Стрічка клейка м/п (793039-001)</t>
  </si>
  <si>
    <t>*Стрічка клейка м/п (793039001)</t>
  </si>
  <si>
    <t>Усі комлектуючі є складською програмою компанії "Кронас"</t>
  </si>
  <si>
    <t>курс євро</t>
  </si>
  <si>
    <t>Планка під ручку</t>
  </si>
  <si>
    <t>Планка декоративна</t>
  </si>
  <si>
    <r>
      <t>*Повзунок для планки під ручку 8мм сірий (лівий+правий) (793238003)-</t>
    </r>
    <r>
      <rPr>
        <b/>
        <i/>
        <sz val="14"/>
        <color rgb="FFFF0000"/>
        <rFont val="Century Gothic"/>
        <family val="2"/>
        <charset val="204"/>
      </rPr>
      <t>для виробу з горизонтальним відкриванням</t>
    </r>
  </si>
  <si>
    <t>вертикальне відкривання з компенсацією ваги С8</t>
  </si>
  <si>
    <t>Шина напрямна накладна 8мм колір светло-сірий L=2500 (705808005)</t>
  </si>
  <si>
    <t>Шина напрямна накладна 8мм колір світло-сірий L=2500 (705808005)</t>
  </si>
  <si>
    <r>
      <t xml:space="preserve">Шина напрямна врізна </t>
    </r>
    <r>
      <rPr>
        <b/>
        <sz val="12"/>
        <color rgb="FFFF0000"/>
        <rFont val="Century Gothic"/>
        <family val="2"/>
        <charset val="204"/>
      </rPr>
      <t>флекс (гнучка)</t>
    </r>
    <r>
      <rPr>
        <b/>
        <sz val="12"/>
        <rFont val="Century Gothic"/>
        <family val="2"/>
        <charset val="204"/>
      </rPr>
      <t xml:space="preserve"> 8мм колір світло-сірий L=2500 (779300002) </t>
    </r>
    <r>
      <rPr>
        <b/>
        <sz val="12"/>
        <color rgb="FFFF0000"/>
        <rFont val="Century Gothic"/>
        <family val="2"/>
        <charset val="204"/>
      </rPr>
      <t>NEW</t>
    </r>
  </si>
  <si>
    <t xml:space="preserve">Система компенсації ваги (барабан) механізм С8 (793310001) </t>
  </si>
  <si>
    <t>Ползунок для планки под ручку 8мм цвет світло-сірий (лівий+правий) (793238003)</t>
  </si>
  <si>
    <t xml:space="preserve">Механізм компенсації ваги С8 (барабан) (793310001) </t>
  </si>
  <si>
    <t>діапазон ширини 700…1000мм/1 комплект</t>
  </si>
  <si>
    <t xml:space="preserve">Набір напрямних валів для системи компенсації ваги С8 (793320001) </t>
  </si>
  <si>
    <t>комплект</t>
  </si>
  <si>
    <t xml:space="preserve">Комплект напрямних валів для системи компенсації ваги С8 (793320001)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</si>
</sst>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Century Gothic"/>
      <family val="2"/>
      <charset val="204"/>
    </font>
    <font>
      <b/>
      <sz val="16"/>
      <name val="Century Gothic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entury Gothic"/>
      <family val="2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Century Gothic"/>
      <family val="2"/>
      <charset val="204"/>
    </font>
    <font>
      <b/>
      <sz val="12"/>
      <color theme="3"/>
      <name val="Arial"/>
      <family val="2"/>
      <charset val="204"/>
    </font>
    <font>
      <b/>
      <sz val="12"/>
      <color rgb="FFFF0000"/>
      <name val="Century Gothic"/>
      <family val="2"/>
      <charset val="204"/>
    </font>
    <font>
      <b/>
      <i/>
      <sz val="13"/>
      <name val="Century Gothic"/>
      <family val="2"/>
      <charset val="204"/>
    </font>
    <font>
      <b/>
      <i/>
      <sz val="14"/>
      <color rgb="FF002060"/>
      <name val="Century Gothic"/>
      <family val="2"/>
      <charset val="204"/>
    </font>
    <font>
      <sz val="13"/>
      <name val="Century Gothic"/>
      <family val="2"/>
      <charset val="204"/>
    </font>
    <font>
      <b/>
      <sz val="16"/>
      <color rgb="FFFF0000"/>
      <name val="Century Gothic"/>
      <family val="2"/>
      <charset val="204"/>
    </font>
    <font>
      <b/>
      <sz val="12"/>
      <name val="Arial Cyr"/>
      <charset val="204"/>
    </font>
    <font>
      <b/>
      <i/>
      <sz val="14"/>
      <name val="Century Gothic"/>
      <family val="2"/>
      <charset val="204"/>
    </font>
    <font>
      <b/>
      <i/>
      <sz val="14"/>
      <color rgb="FFFF0000"/>
      <name val="Century Gothic"/>
      <family val="2"/>
      <charset val="204"/>
    </font>
    <font>
      <i/>
      <sz val="14"/>
      <name val="Arial"/>
      <family val="2"/>
      <charset val="204"/>
    </font>
    <font>
      <b/>
      <sz val="14"/>
      <color rgb="FFFF0000"/>
      <name val="Calibri"/>
      <family val="2"/>
      <charset val="204"/>
      <scheme val="minor"/>
    </font>
    <font>
      <b/>
      <sz val="14"/>
      <color rgb="FF00206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Century Gothic"/>
      <family val="2"/>
      <charset val="204"/>
    </font>
    <font>
      <b/>
      <sz val="11"/>
      <name val="Century Gothic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/>
    </xf>
    <xf numFmtId="0" fontId="0" fillId="0" borderId="0" xfId="0" applyFont="1"/>
    <xf numFmtId="0" fontId="0" fillId="0" borderId="1" xfId="0" applyFont="1" applyBorder="1"/>
    <xf numFmtId="0" fontId="7" fillId="0" borderId="0" xfId="0" applyFont="1"/>
    <xf numFmtId="0" fontId="0" fillId="0" borderId="1" xfId="0" applyFont="1" applyBorder="1" applyAlignment="1">
      <alignment horizontal="center"/>
    </xf>
    <xf numFmtId="0" fontId="8" fillId="0" borderId="0" xfId="0" applyFont="1"/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2" fontId="5" fillId="0" borderId="2" xfId="0" applyNumberFormat="1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164" fontId="4" fillId="0" borderId="1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164" fontId="0" fillId="0" borderId="0" xfId="0" applyNumberFormat="1"/>
    <xf numFmtId="0" fontId="1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1" xfId="0" applyFont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/>
      <protection hidden="1"/>
    </xf>
    <xf numFmtId="4" fontId="0" fillId="0" borderId="1" xfId="0" applyNumberFormat="1" applyFont="1" applyBorder="1" applyProtection="1"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1" fillId="3" borderId="8" xfId="0" applyFont="1" applyFill="1" applyBorder="1" applyProtection="1">
      <protection hidden="1"/>
    </xf>
    <xf numFmtId="0" fontId="1" fillId="3" borderId="9" xfId="0" applyFont="1" applyFill="1" applyBorder="1" applyProtection="1">
      <protection hidden="1"/>
    </xf>
    <xf numFmtId="0" fontId="1" fillId="3" borderId="10" xfId="0" applyFont="1" applyFill="1" applyBorder="1" applyProtection="1">
      <protection hidden="1"/>
    </xf>
    <xf numFmtId="4" fontId="1" fillId="3" borderId="1" xfId="0" applyNumberFormat="1" applyFont="1" applyFill="1" applyBorder="1" applyProtection="1">
      <protection hidden="1"/>
    </xf>
    <xf numFmtId="0" fontId="17" fillId="0" borderId="0" xfId="0" applyFont="1" applyAlignment="1">
      <alignment horizontal="left"/>
    </xf>
    <xf numFmtId="164" fontId="4" fillId="0" borderId="7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164" fontId="24" fillId="0" borderId="0" xfId="0" applyNumberFormat="1" applyFont="1"/>
    <xf numFmtId="0" fontId="24" fillId="0" borderId="0" xfId="0" applyFont="1"/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 wrapText="1"/>
      <protection hidden="1"/>
    </xf>
    <xf numFmtId="0" fontId="26" fillId="0" borderId="0" xfId="0" applyFont="1"/>
    <xf numFmtId="0" fontId="0" fillId="0" borderId="1" xfId="0" applyFont="1" applyFill="1" applyBorder="1" applyAlignment="1" applyProtection="1">
      <alignment horizontal="center"/>
      <protection hidden="1"/>
    </xf>
    <xf numFmtId="0" fontId="3" fillId="2" borderId="0" xfId="0" applyFont="1" applyFill="1" applyAlignment="1">
      <alignment horizontal="center"/>
    </xf>
    <xf numFmtId="0" fontId="27" fillId="2" borderId="8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0" fillId="0" borderId="0" xfId="0" applyBorder="1"/>
    <xf numFmtId="0" fontId="28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29" fillId="0" borderId="4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center"/>
    </xf>
    <xf numFmtId="14" fontId="30" fillId="0" borderId="0" xfId="0" applyNumberFormat="1" applyFont="1" applyFill="1" applyBorder="1" applyAlignment="1">
      <alignment horizontal="right"/>
    </xf>
    <xf numFmtId="2" fontId="12" fillId="5" borderId="0" xfId="0" applyNumberFormat="1" applyFont="1" applyFill="1" applyBorder="1" applyAlignment="1">
      <alignment horizontal="center"/>
    </xf>
    <xf numFmtId="0" fontId="28" fillId="0" borderId="0" xfId="0" applyFont="1"/>
    <xf numFmtId="0" fontId="0" fillId="0" borderId="0" xfId="0" applyAlignment="1" applyProtection="1">
      <alignment horizontal="center"/>
      <protection hidden="1"/>
    </xf>
    <xf numFmtId="0" fontId="28" fillId="0" borderId="1" xfId="0" applyFont="1" applyFill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0" fillId="0" borderId="0" xfId="0" applyFont="1" applyBorder="1" applyProtection="1">
      <protection hidden="1"/>
    </xf>
    <xf numFmtId="0" fontId="0" fillId="0" borderId="0" xfId="0" applyFont="1" applyBorder="1" applyAlignment="1" applyProtection="1">
      <alignment horizontal="center"/>
      <protection hidden="1"/>
    </xf>
    <xf numFmtId="0" fontId="0" fillId="0" borderId="1" xfId="0" applyFont="1" applyBorder="1" applyProtection="1">
      <protection hidden="1"/>
    </xf>
    <xf numFmtId="0" fontId="0" fillId="0" borderId="1" xfId="0" applyFont="1" applyBorder="1" applyAlignment="1" applyProtection="1">
      <alignment horizontal="center"/>
      <protection locked="0" hidden="1"/>
    </xf>
    <xf numFmtId="164" fontId="12" fillId="0" borderId="2" xfId="0" applyNumberFormat="1" applyFont="1" applyFill="1" applyBorder="1" applyAlignment="1">
      <alignment horizontal="center" vertical="center"/>
    </xf>
    <xf numFmtId="164" fontId="12" fillId="0" borderId="17" xfId="0" applyNumberFormat="1" applyFont="1" applyFill="1" applyBorder="1" applyAlignment="1">
      <alignment horizontal="center" vertical="center"/>
    </xf>
    <xf numFmtId="164" fontId="12" fillId="0" borderId="18" xfId="0" applyNumberFormat="1" applyFont="1" applyFill="1" applyBorder="1" applyAlignment="1">
      <alignment horizontal="center" vertical="center"/>
    </xf>
    <xf numFmtId="164" fontId="12" fillId="0" borderId="20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left" vertical="top"/>
      <protection hidden="1"/>
    </xf>
    <xf numFmtId="0" fontId="2" fillId="0" borderId="9" xfId="0" applyFont="1" applyFill="1" applyBorder="1" applyAlignment="1" applyProtection="1">
      <alignment horizontal="left" vertical="top"/>
      <protection hidden="1"/>
    </xf>
    <xf numFmtId="0" fontId="2" fillId="0" borderId="10" xfId="0" applyFont="1" applyFill="1" applyBorder="1" applyAlignment="1" applyProtection="1">
      <alignment horizontal="left" vertical="top"/>
      <protection hidden="1"/>
    </xf>
    <xf numFmtId="0" fontId="0" fillId="0" borderId="8" xfId="0" applyFont="1" applyBorder="1" applyAlignment="1" applyProtection="1">
      <alignment horizontal="left" vertical="top"/>
      <protection hidden="1"/>
    </xf>
    <xf numFmtId="0" fontId="0" fillId="0" borderId="9" xfId="0" applyFont="1" applyBorder="1" applyAlignment="1" applyProtection="1">
      <alignment horizontal="left" vertical="top"/>
      <protection hidden="1"/>
    </xf>
    <xf numFmtId="0" fontId="0" fillId="0" borderId="10" xfId="0" applyFont="1" applyBorder="1" applyAlignment="1" applyProtection="1">
      <alignment horizontal="left" vertical="top"/>
      <protection hidden="1"/>
    </xf>
    <xf numFmtId="0" fontId="1" fillId="4" borderId="8" xfId="0" applyFont="1" applyFill="1" applyBorder="1" applyAlignment="1" applyProtection="1">
      <alignment horizontal="center"/>
      <protection hidden="1"/>
    </xf>
    <xf numFmtId="0" fontId="1" fillId="4" borderId="9" xfId="0" applyFont="1" applyFill="1" applyBorder="1" applyAlignment="1" applyProtection="1">
      <alignment horizontal="center"/>
      <protection hidden="1"/>
    </xf>
    <xf numFmtId="0" fontId="1" fillId="4" borderId="10" xfId="0" applyFont="1" applyFill="1" applyBorder="1" applyAlignment="1" applyProtection="1">
      <alignment horizontal="center"/>
      <protection hidden="1"/>
    </xf>
    <xf numFmtId="0" fontId="3" fillId="4" borderId="8" xfId="0" applyFont="1" applyFill="1" applyBorder="1" applyAlignment="1" applyProtection="1">
      <alignment horizontal="center"/>
      <protection hidden="1"/>
    </xf>
    <xf numFmtId="0" fontId="3" fillId="4" borderId="9" xfId="0" applyFont="1" applyFill="1" applyBorder="1" applyAlignment="1" applyProtection="1">
      <alignment horizontal="center"/>
      <protection hidden="1"/>
    </xf>
    <xf numFmtId="0" fontId="3" fillId="4" borderId="10" xfId="0" applyFont="1" applyFill="1" applyBorder="1" applyAlignment="1" applyProtection="1">
      <alignment horizontal="center"/>
      <protection hidden="1"/>
    </xf>
    <xf numFmtId="0" fontId="3" fillId="3" borderId="8" xfId="0" applyFont="1" applyFill="1" applyBorder="1" applyAlignment="1" applyProtection="1">
      <alignment horizontal="center"/>
      <protection hidden="1"/>
    </xf>
    <xf numFmtId="0" fontId="3" fillId="3" borderId="9" xfId="0" applyFont="1" applyFill="1" applyBorder="1" applyAlignment="1" applyProtection="1">
      <alignment horizontal="center"/>
      <protection hidden="1"/>
    </xf>
    <xf numFmtId="0" fontId="3" fillId="3" borderId="10" xfId="0" applyFont="1" applyFill="1" applyBorder="1" applyAlignment="1" applyProtection="1">
      <alignment horizontal="center"/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2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/>
      <protection hidden="1"/>
    </xf>
    <xf numFmtId="0" fontId="2" fillId="0" borderId="9" xfId="0" applyFont="1" applyFill="1" applyBorder="1" applyAlignment="1" applyProtection="1">
      <alignment horizontal="left" vertical="center"/>
      <protection hidden="1"/>
    </xf>
    <xf numFmtId="0" fontId="2" fillId="0" borderId="10" xfId="0" applyFont="1" applyFill="1" applyBorder="1" applyAlignment="1" applyProtection="1">
      <alignment horizontal="left" vertical="center"/>
      <protection hidden="1"/>
    </xf>
    <xf numFmtId="0" fontId="0" fillId="0" borderId="8" xfId="0" applyFont="1" applyBorder="1" applyAlignment="1" applyProtection="1">
      <alignment horizontal="left"/>
      <protection hidden="1"/>
    </xf>
    <xf numFmtId="0" fontId="0" fillId="0" borderId="9" xfId="0" applyFont="1" applyBorder="1" applyAlignment="1" applyProtection="1">
      <alignment horizontal="left"/>
      <protection hidden="1"/>
    </xf>
    <xf numFmtId="0" fontId="0" fillId="0" borderId="10" xfId="0" applyFont="1" applyBorder="1" applyAlignment="1" applyProtection="1">
      <alignment horizontal="left"/>
      <protection hidden="1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5" fillId="6" borderId="11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164" fontId="13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</cellXfs>
  <cellStyles count="1">
    <cellStyle name="Звичайний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7" Type="http://schemas.openxmlformats.org/officeDocument/2006/relationships/image" Target="../media/image10.png"/><Relationship Id="rId2" Type="http://schemas.openxmlformats.org/officeDocument/2006/relationships/image" Target="../media/image6.jpg"/><Relationship Id="rId1" Type="http://schemas.openxmlformats.org/officeDocument/2006/relationships/image" Target="../media/image3.jpe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200024</xdr:colOff>
      <xdr:row>8</xdr:row>
      <xdr:rowOff>95250</xdr:rowOff>
    </xdr:from>
    <xdr:to>
      <xdr:col>5</xdr:col>
      <xdr:colOff>292524</xdr:colOff>
      <xdr:row>17</xdr:row>
      <xdr:rowOff>152400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9" y="1524000"/>
          <a:ext cx="2483275" cy="177165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7</xdr:row>
      <xdr:rowOff>180975</xdr:rowOff>
    </xdr:from>
    <xdr:to>
      <xdr:col>9</xdr:col>
      <xdr:colOff>219075</xdr:colOff>
      <xdr:row>18</xdr:row>
      <xdr:rowOff>165269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2" r="16211"/>
        <a:stretch/>
      </xdr:blipFill>
      <xdr:spPr>
        <a:xfrm>
          <a:off x="3219450" y="1371600"/>
          <a:ext cx="2009775" cy="2127419"/>
        </a:xfrm>
        <a:prstGeom prst="rect">
          <a:avLst/>
        </a:prstGeom>
      </xdr:spPr>
    </xdr:pic>
    <xdr:clientData/>
  </xdr:twoCellAnchor>
  <xdr:twoCellAnchor editAs="oneCell">
    <xdr:from>
      <xdr:col>9</xdr:col>
      <xdr:colOff>180975</xdr:colOff>
      <xdr:row>5</xdr:row>
      <xdr:rowOff>0</xdr:rowOff>
    </xdr:from>
    <xdr:to>
      <xdr:col>10</xdr:col>
      <xdr:colOff>398511</xdr:colOff>
      <xdr:row>6</xdr:row>
      <xdr:rowOff>76200</xdr:rowOff>
    </xdr:to>
    <xdr:pic>
      <xdr:nvPicPr>
        <xdr:cNvPr id="6" name="Рисунок 5" descr="rehau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91125" y="876300"/>
          <a:ext cx="827136" cy="2571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12</xdr:col>
      <xdr:colOff>276225</xdr:colOff>
      <xdr:row>4</xdr:row>
      <xdr:rowOff>79006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459807D-2EDF-4CC1-A65C-31141F47B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7153275" cy="841006"/>
        </a:xfrm>
        <a:prstGeom prst="rect">
          <a:avLst/>
        </a:prstGeom>
      </xdr:spPr>
    </xdr:pic>
    <xdr:clientData/>
  </xdr:twoCellAnchor>
  <xdr:twoCellAnchor editAs="oneCell">
    <xdr:from>
      <xdr:col>10</xdr:col>
      <xdr:colOff>533400</xdr:colOff>
      <xdr:row>7</xdr:row>
      <xdr:rowOff>57151</xdr:rowOff>
    </xdr:from>
    <xdr:to>
      <xdr:col>12</xdr:col>
      <xdr:colOff>171450</xdr:colOff>
      <xdr:row>14</xdr:row>
      <xdr:rowOff>17606</xdr:rowOff>
    </xdr:to>
    <xdr:pic>
      <xdr:nvPicPr>
        <xdr:cNvPr id="7" name="Picture 5" descr="Vertikal schine1">
          <a:extLst>
            <a:ext uri="{FF2B5EF4-FFF2-40B4-BE49-F238E27FC236}">
              <a16:creationId xmlns:a16="http://schemas.microsoft.com/office/drawing/2014/main" id="{0145FD51-74AE-402D-A09E-E3B65D79B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587"/>
        <a:stretch>
          <a:fillRect/>
        </a:stretch>
      </xdr:blipFill>
      <xdr:spPr>
        <a:xfrm rot="21600000">
          <a:off x="6153150" y="1247776"/>
          <a:ext cx="942975" cy="13415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542925</xdr:colOff>
      <xdr:row>4</xdr:row>
      <xdr:rowOff>85725</xdr:rowOff>
    </xdr:from>
    <xdr:to>
      <xdr:col>9</xdr:col>
      <xdr:colOff>731998</xdr:colOff>
      <xdr:row>5</xdr:row>
      <xdr:rowOff>95250</xdr:rowOff>
    </xdr:to>
    <xdr:pic>
      <xdr:nvPicPr>
        <xdr:cNvPr id="2" name="Рисунок 1" descr="rehau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57800" y="857250"/>
          <a:ext cx="798673" cy="247650"/>
        </a:xfrm>
        <a:prstGeom prst="rect">
          <a:avLst/>
        </a:prstGeom>
      </xdr:spPr>
    </xdr:pic>
    <xdr:clientData/>
  </xdr:twoCellAnchor>
  <xdr:twoCellAnchor editAs="oneCell">
    <xdr:from>
      <xdr:col>4</xdr:col>
      <xdr:colOff>581026</xdr:colOff>
      <xdr:row>7</xdr:row>
      <xdr:rowOff>6977</xdr:rowOff>
    </xdr:from>
    <xdr:to>
      <xdr:col>8</xdr:col>
      <xdr:colOff>190500</xdr:colOff>
      <xdr:row>18</xdr:row>
      <xdr:rowOff>132411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1" y="1416677"/>
          <a:ext cx="2047874" cy="222093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6</xdr:row>
      <xdr:rowOff>57151</xdr:rowOff>
    </xdr:from>
    <xdr:to>
      <xdr:col>4</xdr:col>
      <xdr:colOff>542925</xdr:colOff>
      <xdr:row>18</xdr:row>
      <xdr:rowOff>117858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247776"/>
          <a:ext cx="2524125" cy="2394332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0</xdr:row>
      <xdr:rowOff>0</xdr:rowOff>
    </xdr:from>
    <xdr:to>
      <xdr:col>11</xdr:col>
      <xdr:colOff>428625</xdr:colOff>
      <xdr:row>4</xdr:row>
      <xdr:rowOff>69481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71C5C67-8BFB-4E60-BA27-28FF08813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0"/>
          <a:ext cx="7153275" cy="841006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571500</xdr:colOff>
      <xdr:row>9</xdr:row>
      <xdr:rowOff>28576</xdr:rowOff>
    </xdr:from>
    <xdr:to>
      <xdr:col>11</xdr:col>
      <xdr:colOff>609600</xdr:colOff>
      <xdr:row>12</xdr:row>
      <xdr:rowOff>154798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E495482-55ED-4BAA-AF6F-01D874D29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81800" y="1819276"/>
          <a:ext cx="923925" cy="697722"/>
        </a:xfrm>
        <a:prstGeom prst="rect">
          <a:avLst/>
        </a:prstGeom>
      </xdr:spPr>
    </xdr:pic>
    <xdr:clientData/>
  </xdr:twoCellAnchor>
  <xdr:twoCellAnchor editAs="oneCell">
    <xdr:from>
      <xdr:col>10</xdr:col>
      <xdr:colOff>295275</xdr:colOff>
      <xdr:row>4</xdr:row>
      <xdr:rowOff>95251</xdr:rowOff>
    </xdr:from>
    <xdr:to>
      <xdr:col>12</xdr:col>
      <xdr:colOff>123825</xdr:colOff>
      <xdr:row>7</xdr:row>
      <xdr:rowOff>64194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2DD397C-5CD3-4E20-AB3A-9A2A153C0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05575" y="866776"/>
          <a:ext cx="1428750" cy="607118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12</xdr:row>
      <xdr:rowOff>133350</xdr:rowOff>
    </xdr:from>
    <xdr:to>
      <xdr:col>13</xdr:col>
      <xdr:colOff>19050</xdr:colOff>
      <xdr:row>14</xdr:row>
      <xdr:rowOff>63846</xdr:rowOff>
    </xdr:to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id="{24811E7F-EF6D-41DD-8E30-5AE8BB7C843E}"/>
            </a:ext>
          </a:extLst>
        </xdr:cNvPr>
        <xdr:cNvSpPr/>
      </xdr:nvSpPr>
      <xdr:spPr>
        <a:xfrm>
          <a:off x="6210300" y="2495550"/>
          <a:ext cx="2333625" cy="31149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uk-UA" altLang="uk-UA" sz="1200" b="1">
              <a:solidFill>
                <a:srgbClr val="FF0000"/>
              </a:solidFill>
            </a:rPr>
            <a:t>Механізм компенсаціі ваги</a:t>
          </a:r>
          <a:r>
            <a:rPr lang="uk-UA" altLang="uk-UA" sz="1400" b="1"/>
            <a:t> </a:t>
          </a:r>
          <a:r>
            <a:rPr lang="uk-UA" altLang="uk-UA" sz="1400" b="1">
              <a:solidFill>
                <a:srgbClr val="FF0000"/>
              </a:solidFill>
            </a:rPr>
            <a:t>С8</a:t>
          </a:r>
          <a:endParaRPr lang="ru-RU" sz="14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76201</xdr:colOff>
      <xdr:row>7</xdr:row>
      <xdr:rowOff>104775</xdr:rowOff>
    </xdr:from>
    <xdr:to>
      <xdr:col>12</xdr:col>
      <xdr:colOff>495301</xdr:colOff>
      <xdr:row>9</xdr:row>
      <xdr:rowOff>3980</xdr:rowOff>
    </xdr:to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id="{97E51C1E-24BB-4CCC-8988-D4EC8A8E8E02}"/>
            </a:ext>
          </a:extLst>
        </xdr:cNvPr>
        <xdr:cNvSpPr/>
      </xdr:nvSpPr>
      <xdr:spPr>
        <a:xfrm>
          <a:off x="6286501" y="1514475"/>
          <a:ext cx="2019300" cy="28020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uk-UA" altLang="uk-UA" sz="1200" b="1">
              <a:solidFill>
                <a:srgbClr val="FF0000"/>
              </a:solidFill>
            </a:rPr>
            <a:t>Набір напрямних валів С8</a:t>
          </a:r>
          <a:endParaRPr lang="ru-RU" sz="12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323849</xdr:colOff>
      <xdr:row>8</xdr:row>
      <xdr:rowOff>57153</xdr:rowOff>
    </xdr:from>
    <xdr:to>
      <xdr:col>9</xdr:col>
      <xdr:colOff>704849</xdr:colOff>
      <xdr:row>16</xdr:row>
      <xdr:rowOff>139692</xdr:rowOff>
    </xdr:to>
    <xdr:pic>
      <xdr:nvPicPr>
        <xdr:cNvPr id="14" name="Picture 4" descr="Schine 1">
          <a:extLst>
            <a:ext uri="{FF2B5EF4-FFF2-40B4-BE49-F238E27FC236}">
              <a16:creationId xmlns:a16="http://schemas.microsoft.com/office/drawing/2014/main" id="{FFAC29AB-7AF1-4D19-A5D2-B35F2680B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lum contrast="20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 flipV="1">
          <a:off x="4730754" y="1965323"/>
          <a:ext cx="1606539" cy="9906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670094</xdr:colOff>
      <xdr:row>1</xdr:row>
      <xdr:rowOff>1190623</xdr:rowOff>
    </xdr:from>
    <xdr:to>
      <xdr:col>6</xdr:col>
      <xdr:colOff>925916</xdr:colOff>
      <xdr:row>1</xdr:row>
      <xdr:rowOff>1455964</xdr:rowOff>
    </xdr:to>
    <xdr:pic>
      <xdr:nvPicPr>
        <xdr:cNvPr id="7" name="Рисунок 6" descr="rehau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15380" y="1381123"/>
          <a:ext cx="1072250" cy="2653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6</xdr:col>
      <xdr:colOff>925286</xdr:colOff>
      <xdr:row>1</xdr:row>
      <xdr:rowOff>1115786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FEC5FBB-BAF3-4FBA-A636-A1062A70E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10300607" cy="121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/>
  <dimension ref="B5:M31"/>
  <sheetViews>
    <sheetView showGridLines="0" tabSelected="1" zoomScaleNormal="100" workbookViewId="0">
      <selection activeCell="M17" sqref="M17"/>
    </sheetView>
  </sheetViews>
  <sheetFormatPr defaultColWidth="9.140625" defaultRowHeight="15" x14ac:dyDescent="0.25"/>
  <cols>
    <col min="1" max="1" width="2.7109375" style="45" customWidth="1"/>
    <col min="2" max="2" width="9.140625" style="45" customWidth="1"/>
    <col min="3" max="3" width="6.7109375" style="45" customWidth="1"/>
    <col min="4" max="4" width="10.85546875" style="45" customWidth="1"/>
    <col min="5" max="10" width="9.140625" style="45"/>
    <col min="11" max="11" width="9.140625" style="45" bestFit="1" customWidth="1"/>
    <col min="12" max="12" width="10.42578125" style="45" bestFit="1" customWidth="1"/>
    <col min="13" max="13" width="11" style="45" bestFit="1" customWidth="1"/>
    <col min="14" max="16384" width="9.140625" style="45"/>
  </cols>
  <sheetData>
    <row r="5" spans="2:13" ht="6.75" customHeight="1" x14ac:dyDescent="0.25"/>
    <row r="6" spans="2:13" ht="14.25" customHeight="1" x14ac:dyDescent="0.3">
      <c r="B6" s="76" t="s">
        <v>25</v>
      </c>
      <c r="C6" s="77"/>
      <c r="D6" s="77"/>
      <c r="E6" s="77"/>
      <c r="F6" s="77"/>
      <c r="G6" s="77"/>
      <c r="H6" s="77"/>
      <c r="I6" s="77"/>
      <c r="J6" s="77"/>
      <c r="K6" s="78"/>
    </row>
    <row r="7" spans="2:13" ht="12.75" customHeight="1" x14ac:dyDescent="0.3">
      <c r="B7" s="79" t="s">
        <v>26</v>
      </c>
      <c r="C7" s="77"/>
      <c r="D7" s="77"/>
      <c r="E7" s="77"/>
      <c r="F7" s="77"/>
      <c r="G7" s="77"/>
      <c r="H7" s="77"/>
      <c r="I7" s="77"/>
      <c r="J7" s="77"/>
      <c r="K7" s="78"/>
    </row>
    <row r="8" spans="2:13" ht="18.75" x14ac:dyDescent="0.3">
      <c r="B8" s="79"/>
      <c r="C8" s="77"/>
      <c r="D8" s="77"/>
      <c r="E8" s="77"/>
      <c r="F8" s="77"/>
      <c r="G8" s="77"/>
      <c r="H8" s="77"/>
      <c r="I8" s="77"/>
      <c r="J8" s="77"/>
      <c r="K8" s="78"/>
    </row>
    <row r="14" spans="2:13" x14ac:dyDescent="0.25">
      <c r="B14" s="80"/>
      <c r="C14" s="81"/>
      <c r="D14" s="81"/>
    </row>
    <row r="15" spans="2:13" x14ac:dyDescent="0.25">
      <c r="B15" s="80"/>
      <c r="C15" s="81"/>
      <c r="D15" s="81"/>
    </row>
    <row r="16" spans="2:13" x14ac:dyDescent="0.25">
      <c r="B16" s="80"/>
      <c r="C16" s="81"/>
      <c r="D16" s="81"/>
      <c r="K16" s="94" t="s">
        <v>24</v>
      </c>
      <c r="L16" s="95"/>
      <c r="M16" s="96"/>
    </row>
    <row r="17" spans="2:13" x14ac:dyDescent="0.25">
      <c r="B17" s="80"/>
      <c r="C17" s="81"/>
      <c r="D17" s="81"/>
      <c r="K17" s="82" t="s">
        <v>16</v>
      </c>
      <c r="L17" s="42" t="s">
        <v>1</v>
      </c>
      <c r="M17" s="83"/>
    </row>
    <row r="18" spans="2:13" x14ac:dyDescent="0.25">
      <c r="K18" s="82" t="s">
        <v>0</v>
      </c>
      <c r="L18" s="42" t="s">
        <v>1</v>
      </c>
      <c r="M18" s="83"/>
    </row>
    <row r="19" spans="2:13" x14ac:dyDescent="0.25">
      <c r="K19" s="82" t="s">
        <v>17</v>
      </c>
      <c r="L19" s="42" t="s">
        <v>1</v>
      </c>
      <c r="M19" s="83"/>
    </row>
    <row r="21" spans="2:13" ht="15.75" x14ac:dyDescent="0.25">
      <c r="B21" s="97" t="s">
        <v>18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9"/>
    </row>
    <row r="22" spans="2:13" ht="30" x14ac:dyDescent="0.25">
      <c r="B22" s="39" t="s">
        <v>15</v>
      </c>
      <c r="C22" s="100" t="s">
        <v>19</v>
      </c>
      <c r="D22" s="101"/>
      <c r="E22" s="101"/>
      <c r="F22" s="101"/>
      <c r="G22" s="101"/>
      <c r="H22" s="101"/>
      <c r="I22" s="102"/>
      <c r="J22" s="58" t="s">
        <v>20</v>
      </c>
      <c r="K22" s="40" t="s">
        <v>21</v>
      </c>
      <c r="L22" s="40" t="s">
        <v>22</v>
      </c>
      <c r="M22" s="40" t="s">
        <v>23</v>
      </c>
    </row>
    <row r="23" spans="2:13" x14ac:dyDescent="0.25">
      <c r="B23" s="41">
        <v>20160</v>
      </c>
      <c r="C23" s="103" t="s">
        <v>35</v>
      </c>
      <c r="D23" s="103"/>
      <c r="E23" s="103"/>
      <c r="F23" s="103"/>
      <c r="G23" s="103"/>
      <c r="H23" s="103"/>
      <c r="I23" s="103"/>
      <c r="J23" s="42" t="s">
        <v>2</v>
      </c>
      <c r="K23" s="42">
        <f>IFERROR(ROUNDUP(ROUNDUP($M$17/45,0)/ROUNDDOWN(2500/$M$18,0),0),0)</f>
        <v>0</v>
      </c>
      <c r="L23" s="43">
        <f>IFERROR(VLOOKUP($B23,Прайс!A:H,8,0),0)</f>
        <v>6.5755999999999997</v>
      </c>
      <c r="M23" s="43">
        <f>K23*L23</f>
        <v>0</v>
      </c>
    </row>
    <row r="24" spans="2:13" x14ac:dyDescent="0.25">
      <c r="B24" s="41">
        <v>86572</v>
      </c>
      <c r="C24" s="103" t="s">
        <v>56</v>
      </c>
      <c r="D24" s="103"/>
      <c r="E24" s="103"/>
      <c r="F24" s="103"/>
      <c r="G24" s="103"/>
      <c r="H24" s="103"/>
      <c r="I24" s="103"/>
      <c r="J24" s="42" t="s">
        <v>2</v>
      </c>
      <c r="K24" s="42">
        <f>ROUNDUP(($M$17*4)/2500,0)</f>
        <v>0</v>
      </c>
      <c r="L24" s="43">
        <f>IFERROR(VLOOKUP($B24,Прайс!A:H,8,0),0)</f>
        <v>6.0732999999999997</v>
      </c>
      <c r="M24" s="43">
        <f t="shared" ref="M24:M29" si="0">K24*L24</f>
        <v>0</v>
      </c>
    </row>
    <row r="25" spans="2:13" x14ac:dyDescent="0.25">
      <c r="B25" s="41">
        <v>20162</v>
      </c>
      <c r="C25" s="103" t="s">
        <v>36</v>
      </c>
      <c r="D25" s="103"/>
      <c r="E25" s="103"/>
      <c r="F25" s="103"/>
      <c r="G25" s="103"/>
      <c r="H25" s="103"/>
      <c r="I25" s="103"/>
      <c r="J25" s="42" t="s">
        <v>2</v>
      </c>
      <c r="K25" s="42">
        <f>IF(M17&gt;0,IF($M$17&lt;=$M$19,2,4),0)</f>
        <v>0</v>
      </c>
      <c r="L25" s="43">
        <f>IFERROR(VLOOKUP($B25,Прайс!A:H,8,0),0)</f>
        <v>0.90359999999999996</v>
      </c>
      <c r="M25" s="43">
        <f t="shared" si="0"/>
        <v>0</v>
      </c>
    </row>
    <row r="26" spans="2:13" x14ac:dyDescent="0.25">
      <c r="B26" s="41">
        <v>55085</v>
      </c>
      <c r="C26" s="103" t="s">
        <v>44</v>
      </c>
      <c r="D26" s="103"/>
      <c r="E26" s="103"/>
      <c r="F26" s="103"/>
      <c r="G26" s="103"/>
      <c r="H26" s="103"/>
      <c r="I26" s="103"/>
      <c r="J26" s="42" t="s">
        <v>14</v>
      </c>
      <c r="K26" s="42">
        <f>IF(M17&gt;0,1,0)</f>
        <v>0</v>
      </c>
      <c r="L26" s="43">
        <f>IFERROR(VLOOKUP($B26,Прайс!A:H,8,0),0)</f>
        <v>2.3367</v>
      </c>
      <c r="M26" s="43">
        <f t="shared" si="0"/>
        <v>0</v>
      </c>
    </row>
    <row r="27" spans="2:13" x14ac:dyDescent="0.25">
      <c r="B27" s="44">
        <v>20726</v>
      </c>
      <c r="C27" s="88" t="s">
        <v>45</v>
      </c>
      <c r="D27" s="89"/>
      <c r="E27" s="89"/>
      <c r="F27" s="89"/>
      <c r="G27" s="89"/>
      <c r="H27" s="89"/>
      <c r="I27" s="90"/>
      <c r="J27" s="42" t="s">
        <v>13</v>
      </c>
      <c r="K27" s="42">
        <f>ROUNDUP((IF($M$18&lt;800,2,3)*$M$17)/1000,0)</f>
        <v>0</v>
      </c>
      <c r="L27" s="43">
        <f>IFERROR(VLOOKUP($B27,Прайс!A:H,8,0),0)</f>
        <v>0.27</v>
      </c>
      <c r="M27" s="43">
        <f t="shared" si="0"/>
        <v>0</v>
      </c>
    </row>
    <row r="28" spans="2:13" x14ac:dyDescent="0.25">
      <c r="B28" s="42">
        <f>IF($M$18&lt;=800,58356,58355)</f>
        <v>58356</v>
      </c>
      <c r="C28" s="91" t="str">
        <f>IFERROR(VLOOKUP($B28,Варіанти!$A:$B,2,0),"")</f>
        <v>Планка під ручку колір алюміній L=800 (702832)</v>
      </c>
      <c r="D28" s="92"/>
      <c r="E28" s="92"/>
      <c r="F28" s="92"/>
      <c r="G28" s="92"/>
      <c r="H28" s="92"/>
      <c r="I28" s="93"/>
      <c r="J28" s="42" t="s">
        <v>2</v>
      </c>
      <c r="K28" s="42">
        <f>IF(M17&gt;0,1,0)</f>
        <v>0</v>
      </c>
      <c r="L28" s="43">
        <f>IFERROR(VLOOKUP($B28,Прайс!A:H,8,0),0)</f>
        <v>8.4263999999999992</v>
      </c>
      <c r="M28" s="43">
        <f t="shared" si="0"/>
        <v>0</v>
      </c>
    </row>
    <row r="29" spans="2:13" x14ac:dyDescent="0.25">
      <c r="B29" s="42">
        <f>IF($M$18&lt;=800,20728,20164)</f>
        <v>20728</v>
      </c>
      <c r="C29" s="91" t="str">
        <f>IFERROR(VLOOKUP($B29,Варіанти!$A:$B,2,0),"")</f>
        <v>Планка декоративна колір алюміній L=800 (702825)</v>
      </c>
      <c r="D29" s="92"/>
      <c r="E29" s="92"/>
      <c r="F29" s="92"/>
      <c r="G29" s="92"/>
      <c r="H29" s="92"/>
      <c r="I29" s="93"/>
      <c r="J29" s="42" t="s">
        <v>2</v>
      </c>
      <c r="K29" s="42">
        <f>IF(M17&gt;0,1,0)</f>
        <v>0</v>
      </c>
      <c r="L29" s="43">
        <f>IFERROR(VLOOKUP($B29,Прайс!A:H,8,0),0)</f>
        <v>5.5587999999999997</v>
      </c>
      <c r="M29" s="43">
        <f t="shared" si="0"/>
        <v>0</v>
      </c>
    </row>
    <row r="31" spans="2:13" x14ac:dyDescent="0.25">
      <c r="B31" s="46" t="s">
        <v>46</v>
      </c>
      <c r="C31" s="47"/>
      <c r="D31" s="47"/>
      <c r="E31" s="47"/>
      <c r="F31" s="47"/>
      <c r="G31" s="47"/>
      <c r="H31" s="47"/>
      <c r="I31" s="47"/>
      <c r="J31" s="47"/>
      <c r="K31" s="47"/>
      <c r="L31" s="48"/>
      <c r="M31" s="49">
        <f>SUM(M23:M29)</f>
        <v>0</v>
      </c>
    </row>
  </sheetData>
  <sheetProtection algorithmName="SHA-512" hashValue="oowGu+DZlIiMfPSeCkJpUkNSXYwHMBYwLxYla0J7YHHDwH3uQ9by3BskEPOEt8sNRB6JovE6Xj0IafSSDfFFHg==" saltValue="k4RGv2SxsJDJmuZ14g6SSw==" spinCount="100000" sheet="1" objects="1" scenarios="1" formatCells="0" formatColumns="0" formatRows="0" insertColumns="0" insertRows="0" insertHyperlinks="0" deleteColumns="0" deleteRows="0" selectLockedCells="1" sort="0" autoFilter="0" pivotTables="0"/>
  <dataConsolidate/>
  <mergeCells count="10">
    <mergeCell ref="C27:I27"/>
    <mergeCell ref="C29:I29"/>
    <mergeCell ref="C28:I28"/>
    <mergeCell ref="K16:M16"/>
    <mergeCell ref="B21:M21"/>
    <mergeCell ref="C22:I22"/>
    <mergeCell ref="C23:I23"/>
    <mergeCell ref="C24:I24"/>
    <mergeCell ref="C25:I25"/>
    <mergeCell ref="C26:I26"/>
  </mergeCells>
  <conditionalFormatting sqref="M17:M19">
    <cfRule type="cellIs" dxfId="5" priority="4" operator="equal">
      <formula>""</formula>
    </cfRule>
  </conditionalFormatting>
  <conditionalFormatting sqref="C28:I28">
    <cfRule type="cellIs" dxfId="4" priority="3" operator="equal">
      <formula>""</formula>
    </cfRule>
  </conditionalFormatting>
  <conditionalFormatting sqref="C29:I29">
    <cfRule type="cellIs" dxfId="3" priority="1" operator="equal">
      <formula>""</formula>
    </cfRule>
  </conditionalFormatting>
  <dataValidations count="2">
    <dataValidation type="custom" allowBlank="1" showInputMessage="1" showErrorMessage="1" error="Для висоти виробу більше 1050мм використовуйтє розрахунок з механізмом компенсаціі ваги С8" sqref="M17" xr:uid="{00000000-0002-0000-0000-000000000000}">
      <formula1>M17&lt;=1050</formula1>
    </dataValidation>
    <dataValidation type="custom" allowBlank="1" showInputMessage="1" showErrorMessage="1" error="Превышение допустимых размеров!" sqref="M18" xr:uid="{00000000-0002-0000-0000-000001000000}">
      <formula1>IF(M17&gt;800,M18&lt;=800,M18&lt;=1000)</formula1>
    </dataValidation>
  </dataValidations>
  <pageMargins left="0.7" right="0.7" top="0.75" bottom="0.75" header="0.3" footer="0.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3"/>
  <sheetViews>
    <sheetView showGridLines="0" zoomScaleNormal="100" workbookViewId="0">
      <selection activeCell="M17" sqref="M17:M19"/>
    </sheetView>
  </sheetViews>
  <sheetFormatPr defaultRowHeight="15" x14ac:dyDescent="0.25"/>
  <cols>
    <col min="1" max="1" width="3.42578125" customWidth="1"/>
    <col min="2" max="2" width="9.140625" customWidth="1"/>
    <col min="4" max="4" width="12.42578125" customWidth="1"/>
    <col min="10" max="11" width="13.28515625" customWidth="1"/>
    <col min="12" max="13" width="10.7109375" customWidth="1"/>
    <col min="16" max="19" width="9.140625" customWidth="1"/>
    <col min="20" max="21" width="9.140625" hidden="1" customWidth="1"/>
    <col min="22" max="24" width="9.140625" customWidth="1"/>
  </cols>
  <sheetData>
    <row r="1" spans="1:14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5.7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8.75" x14ac:dyDescent="0.3">
      <c r="A5" s="9"/>
      <c r="B5" s="59" t="s">
        <v>25</v>
      </c>
      <c r="C5" s="1"/>
      <c r="D5" s="1"/>
      <c r="E5" s="1"/>
      <c r="F5" s="1"/>
      <c r="G5" s="1"/>
      <c r="H5" s="1"/>
      <c r="I5" s="1"/>
      <c r="J5" s="1"/>
      <c r="K5" s="2"/>
      <c r="L5" s="9"/>
      <c r="M5" s="9"/>
      <c r="N5" s="9"/>
    </row>
    <row r="6" spans="1:14" ht="12.75" customHeight="1" x14ac:dyDescent="0.25">
      <c r="A6" s="9"/>
      <c r="B6" s="104" t="s">
        <v>54</v>
      </c>
      <c r="C6" s="105"/>
      <c r="D6" s="105"/>
      <c r="E6" s="105"/>
      <c r="F6" s="105"/>
      <c r="G6" s="105"/>
      <c r="H6" s="105"/>
      <c r="I6" s="105"/>
      <c r="J6" s="1"/>
      <c r="K6" s="2"/>
      <c r="L6" s="9"/>
      <c r="M6" s="9"/>
      <c r="N6" s="9"/>
    </row>
    <row r="7" spans="1:14" ht="18.75" x14ac:dyDescent="0.3">
      <c r="A7" s="9"/>
      <c r="B7" s="13"/>
      <c r="C7" s="1"/>
      <c r="D7" s="1"/>
      <c r="E7" s="1"/>
      <c r="F7" s="1"/>
      <c r="G7" s="1"/>
      <c r="H7" s="1"/>
      <c r="I7" s="1"/>
      <c r="J7" s="1"/>
      <c r="K7" s="2"/>
      <c r="L7" s="9"/>
      <c r="M7" s="9"/>
      <c r="N7" s="9"/>
    </row>
    <row r="14" spans="1:14" x14ac:dyDescent="0.25">
      <c r="K14" s="73"/>
      <c r="L14" s="73"/>
    </row>
    <row r="16" spans="1:14" x14ac:dyDescent="0.25">
      <c r="K16" s="107" t="s">
        <v>24</v>
      </c>
      <c r="L16" s="108"/>
      <c r="M16" s="109"/>
    </row>
    <row r="17" spans="2:21" x14ac:dyDescent="0.25">
      <c r="K17" s="10" t="s">
        <v>16</v>
      </c>
      <c r="L17" s="12" t="s">
        <v>1</v>
      </c>
      <c r="M17" s="38"/>
    </row>
    <row r="18" spans="2:21" x14ac:dyDescent="0.25">
      <c r="K18" s="10" t="s">
        <v>0</v>
      </c>
      <c r="L18" s="12" t="s">
        <v>1</v>
      </c>
      <c r="M18" s="38"/>
    </row>
    <row r="19" spans="2:21" x14ac:dyDescent="0.25">
      <c r="K19" s="10" t="s">
        <v>17</v>
      </c>
      <c r="L19" s="12" t="s">
        <v>1</v>
      </c>
      <c r="M19" s="38"/>
    </row>
    <row r="21" spans="2:21" ht="15.75" x14ac:dyDescent="0.25">
      <c r="B21" s="97" t="s">
        <v>18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9"/>
    </row>
    <row r="22" spans="2:21" ht="30" x14ac:dyDescent="0.25">
      <c r="B22" s="39" t="s">
        <v>15</v>
      </c>
      <c r="C22" s="100" t="s">
        <v>19</v>
      </c>
      <c r="D22" s="101"/>
      <c r="E22" s="101"/>
      <c r="F22" s="101"/>
      <c r="G22" s="101"/>
      <c r="H22" s="101"/>
      <c r="I22" s="102"/>
      <c r="J22" s="58" t="s">
        <v>20</v>
      </c>
      <c r="K22" s="40" t="s">
        <v>21</v>
      </c>
      <c r="L22" s="40" t="s">
        <v>22</v>
      </c>
      <c r="M22" s="40" t="s">
        <v>23</v>
      </c>
    </row>
    <row r="23" spans="2:21" x14ac:dyDescent="0.25">
      <c r="B23" s="41">
        <v>20160</v>
      </c>
      <c r="C23" s="106" t="s">
        <v>35</v>
      </c>
      <c r="D23" s="106"/>
      <c r="E23" s="106"/>
      <c r="F23" s="106"/>
      <c r="G23" s="106"/>
      <c r="H23" s="106"/>
      <c r="I23" s="106"/>
      <c r="J23" s="42" t="s">
        <v>2</v>
      </c>
      <c r="K23" s="74">
        <f>IF(OR(M17=0,M19=0),T23,U23)</f>
        <v>0</v>
      </c>
      <c r="L23" s="43">
        <f>IFERROR(VLOOKUP($B23,Прайс!A:H,8,0),0)</f>
        <v>6.5755999999999997</v>
      </c>
      <c r="M23" s="43">
        <f>IF(K23=0,0,(U23*L23))</f>
        <v>0</v>
      </c>
      <c r="T23">
        <v>0</v>
      </c>
      <c r="U23" s="42">
        <f>IFERROR(ROUNDUP(ROUNDUP(($M$17+M19)/45,0)/ROUNDDOWN(2500/$M$18,0),0),0)+1</f>
        <v>1</v>
      </c>
    </row>
    <row r="24" spans="2:21" x14ac:dyDescent="0.25">
      <c r="B24" s="41">
        <v>86572</v>
      </c>
      <c r="C24" s="106" t="s">
        <v>56</v>
      </c>
      <c r="D24" s="106"/>
      <c r="E24" s="106"/>
      <c r="F24" s="106"/>
      <c r="G24" s="106"/>
      <c r="H24" s="106"/>
      <c r="I24" s="106"/>
      <c r="J24" s="42" t="s">
        <v>2</v>
      </c>
      <c r="K24" s="42">
        <f>ROUNDUP((($M$17+M19)*4)/2500,0)</f>
        <v>0</v>
      </c>
      <c r="L24" s="43">
        <f>IFERROR(VLOOKUP($B24,Прайс!A:H,8,0),0)</f>
        <v>6.0732999999999997</v>
      </c>
      <c r="M24" s="43">
        <f>K24*L24</f>
        <v>0</v>
      </c>
    </row>
    <row r="25" spans="2:21" x14ac:dyDescent="0.25">
      <c r="B25" s="41">
        <v>20162</v>
      </c>
      <c r="C25" s="106" t="s">
        <v>36</v>
      </c>
      <c r="D25" s="106"/>
      <c r="E25" s="106"/>
      <c r="F25" s="106"/>
      <c r="G25" s="106"/>
      <c r="H25" s="106"/>
      <c r="I25" s="106"/>
      <c r="J25" s="42" t="s">
        <v>2</v>
      </c>
      <c r="K25" s="42">
        <f>IF(M17&gt;0,IF($M$17&lt;=$M$19,2,4),0)</f>
        <v>0</v>
      </c>
      <c r="L25" s="43">
        <f>IFERROR(VLOOKUP($B25,Прайс!A:H,8,0),0)</f>
        <v>0.90359999999999996</v>
      </c>
      <c r="M25" s="43">
        <f t="shared" ref="M25:M31" si="0">K25*L25</f>
        <v>0</v>
      </c>
    </row>
    <row r="26" spans="2:21" x14ac:dyDescent="0.25">
      <c r="B26" s="41">
        <v>58357</v>
      </c>
      <c r="C26" s="106" t="s">
        <v>59</v>
      </c>
      <c r="D26" s="106"/>
      <c r="E26" s="106"/>
      <c r="F26" s="106"/>
      <c r="G26" s="106"/>
      <c r="H26" s="106"/>
      <c r="I26" s="106"/>
      <c r="J26" s="42" t="s">
        <v>14</v>
      </c>
      <c r="K26" s="42">
        <f>IF(M17&gt;O230,1,0)</f>
        <v>0</v>
      </c>
      <c r="L26" s="43">
        <f>IFERROR(VLOOKUP($B26,Прайс!A:H,8,0),0)</f>
        <v>1.0628</v>
      </c>
      <c r="M26" s="43">
        <f t="shared" si="0"/>
        <v>0</v>
      </c>
    </row>
    <row r="27" spans="2:21" x14ac:dyDescent="0.25">
      <c r="B27" s="44">
        <v>20726</v>
      </c>
      <c r="C27" s="112" t="s">
        <v>47</v>
      </c>
      <c r="D27" s="113"/>
      <c r="E27" s="113"/>
      <c r="F27" s="113"/>
      <c r="G27" s="113"/>
      <c r="H27" s="113"/>
      <c r="I27" s="114"/>
      <c r="J27" s="42" t="s">
        <v>13</v>
      </c>
      <c r="K27" s="42">
        <f>ROUNDUP((IF($M$18&lt;800,2,3)*($M$17+M19))/1000,0)</f>
        <v>0</v>
      </c>
      <c r="L27" s="43">
        <f>IFERROR(VLOOKUP($B27,Прайс!A:H,8,0),0)</f>
        <v>0.27</v>
      </c>
      <c r="M27" s="43">
        <f t="shared" si="0"/>
        <v>0</v>
      </c>
    </row>
    <row r="28" spans="2:21" x14ac:dyDescent="0.25">
      <c r="B28" s="42">
        <f>IF($M$18&lt;=800,58356,58355)</f>
        <v>58356</v>
      </c>
      <c r="C28" s="115" t="str">
        <f>IFERROR(VLOOKUP($B28,Варіанти!$A:$B,2,0),"")</f>
        <v>Планка під ручку колір алюміній L=800 (702832)</v>
      </c>
      <c r="D28" s="116"/>
      <c r="E28" s="116"/>
      <c r="F28" s="116"/>
      <c r="G28" s="116"/>
      <c r="H28" s="116"/>
      <c r="I28" s="117"/>
      <c r="J28" s="42" t="s">
        <v>2</v>
      </c>
      <c r="K28" s="42">
        <f>IF(M17&gt;0,1,0)</f>
        <v>0</v>
      </c>
      <c r="L28" s="43">
        <f>IFERROR(VLOOKUP($B28,Прайс!A:H,8,0),0)</f>
        <v>8.4263999999999992</v>
      </c>
      <c r="M28" s="43">
        <f t="shared" si="0"/>
        <v>0</v>
      </c>
    </row>
    <row r="29" spans="2:21" x14ac:dyDescent="0.25">
      <c r="B29" s="42">
        <f>IF($M$18&lt;=800,20728,20164)</f>
        <v>20728</v>
      </c>
      <c r="C29" s="115" t="str">
        <f>IFERROR(VLOOKUP($B29,Варіанти!$A:$B,2,0),"")</f>
        <v>Планка декоративна колір алюміній L=800 (702825)</v>
      </c>
      <c r="D29" s="116"/>
      <c r="E29" s="116"/>
      <c r="F29" s="116"/>
      <c r="G29" s="116"/>
      <c r="H29" s="116"/>
      <c r="I29" s="117"/>
      <c r="J29" s="42" t="s">
        <v>2</v>
      </c>
      <c r="K29" s="42">
        <f>IF(M17&gt;0,1,0)</f>
        <v>0</v>
      </c>
      <c r="L29" s="43">
        <f>IFERROR(VLOOKUP($B29,Прайс!A:H,8,0),0)</f>
        <v>5.5587999999999997</v>
      </c>
      <c r="M29" s="43">
        <f t="shared" si="0"/>
        <v>0</v>
      </c>
    </row>
    <row r="30" spans="2:21" x14ac:dyDescent="0.25">
      <c r="B30" s="65">
        <v>21035</v>
      </c>
      <c r="C30" s="110" t="s">
        <v>60</v>
      </c>
      <c r="D30" s="110"/>
      <c r="E30" s="110"/>
      <c r="F30" s="110"/>
      <c r="G30" s="110"/>
      <c r="H30" s="110"/>
      <c r="I30" s="110"/>
      <c r="J30" s="60" t="s">
        <v>2</v>
      </c>
      <c r="K30" s="75">
        <f>IF(M17&gt;0,IF(OR(AND(M17&gt;1600,M18&gt;700),AND(M17&gt;1000,M18&gt;800)),2,1),0)</f>
        <v>0</v>
      </c>
      <c r="L30" s="43">
        <f>IFERROR(VLOOKUP($B30,Прайс!A:H,8,0),0)</f>
        <v>31.2776</v>
      </c>
      <c r="M30" s="43">
        <f t="shared" si="0"/>
        <v>0</v>
      </c>
    </row>
    <row r="31" spans="2:21" x14ac:dyDescent="0.25">
      <c r="B31" s="66">
        <v>21036</v>
      </c>
      <c r="C31" s="111" t="s">
        <v>64</v>
      </c>
      <c r="D31" s="111"/>
      <c r="E31" s="111"/>
      <c r="F31" s="111"/>
      <c r="G31" s="111"/>
      <c r="H31" s="111"/>
      <c r="I31" s="111"/>
      <c r="J31" s="60" t="s">
        <v>63</v>
      </c>
      <c r="K31" s="75">
        <f>IF(M18&gt;0,IF(M18&gt;700,1,0),0)</f>
        <v>0</v>
      </c>
      <c r="L31" s="43">
        <f>IFERROR(VLOOKUP($B31,Прайс!A:H,8,0),0)</f>
        <v>39.1008</v>
      </c>
      <c r="M31" s="43">
        <f t="shared" si="0"/>
        <v>0</v>
      </c>
    </row>
    <row r="33" spans="2:13" x14ac:dyDescent="0.25">
      <c r="B33" s="46" t="s">
        <v>46</v>
      </c>
      <c r="C33" s="47"/>
      <c r="D33" s="47"/>
      <c r="E33" s="47"/>
      <c r="F33" s="47"/>
      <c r="G33" s="47"/>
      <c r="H33" s="47"/>
      <c r="I33" s="47"/>
      <c r="J33" s="47"/>
      <c r="K33" s="47"/>
      <c r="L33" s="48"/>
      <c r="M33" s="49">
        <f>SUM(M23:M31)</f>
        <v>0</v>
      </c>
    </row>
  </sheetData>
  <sheetProtection algorithmName="SHA-512" hashValue="G+/Zo8faNYvMHKltlbaIOcbw3w6PTPv6cqTnuZBbvqneq9XKKzUVA/aMSF/eh6JoyP2P3e7R6kpGXllw7WLVsA==" saltValue="T+GTl+ExrJkh1JDqIQ807g==" spinCount="100000" sheet="1" formatCells="0" formatColumns="0" formatRows="0" insertColumns="0" insertRows="0" insertHyperlinks="0" deleteColumns="0" deleteRows="0" selectLockedCells="1" sort="0" autoFilter="0" pivotTables="0"/>
  <mergeCells count="13">
    <mergeCell ref="C30:I30"/>
    <mergeCell ref="C31:I31"/>
    <mergeCell ref="C27:I27"/>
    <mergeCell ref="C28:I28"/>
    <mergeCell ref="C29:I29"/>
    <mergeCell ref="B6:I6"/>
    <mergeCell ref="C25:I25"/>
    <mergeCell ref="C26:I26"/>
    <mergeCell ref="K16:M16"/>
    <mergeCell ref="B21:M21"/>
    <mergeCell ref="C22:I22"/>
    <mergeCell ref="C23:I23"/>
    <mergeCell ref="C24:I24"/>
  </mergeCells>
  <conditionalFormatting sqref="C29:I29">
    <cfRule type="cellIs" dxfId="2" priority="3" operator="equal">
      <formula>""</formula>
    </cfRule>
  </conditionalFormatting>
  <conditionalFormatting sqref="M17:M19">
    <cfRule type="cellIs" dxfId="1" priority="2" operator="equal">
      <formula>""</formula>
    </cfRule>
  </conditionalFormatting>
  <conditionalFormatting sqref="C28:I28">
    <cfRule type="cellIs" dxfId="0" priority="1" operator="equal">
      <formula>""</formula>
    </cfRule>
  </conditionalFormatting>
  <dataValidations count="2">
    <dataValidation type="custom" allowBlank="1" showInputMessage="1" showErrorMessage="1" error="Превышение допустимых размеров!" sqref="M18" xr:uid="{00000000-0002-0000-0100-000000000000}">
      <formula1>M18&lt;=1000</formula1>
    </dataValidation>
    <dataValidation type="whole" allowBlank="1" showInputMessage="1" showErrorMessage="1" error="Механізм компенсаціі ваги С8 використовується для виробів висотою 1051-2000мм" sqref="M17" xr:uid="{00000000-0002-0000-0100-000001000000}">
      <formula1>1051</formula1>
      <formula2>2000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Worksheet____2"/>
  <dimension ref="A1:J31"/>
  <sheetViews>
    <sheetView zoomScale="80" zoomScaleNormal="80" workbookViewId="0">
      <selection activeCell="H3" sqref="H3"/>
    </sheetView>
  </sheetViews>
  <sheetFormatPr defaultRowHeight="15" x14ac:dyDescent="0.25"/>
  <cols>
    <col min="1" max="1" width="11.28515625" style="20" bestFit="1" customWidth="1"/>
    <col min="2" max="2" width="72.85546875" style="21" customWidth="1"/>
    <col min="3" max="3" width="13.7109375" style="21" bestFit="1" customWidth="1"/>
    <col min="4" max="4" width="13.85546875" style="21" customWidth="1"/>
    <col min="5" max="5" width="16.7109375" style="21" customWidth="1"/>
    <col min="6" max="6" width="12.140625" style="22" customWidth="1"/>
    <col min="7" max="7" width="34.7109375" style="22" bestFit="1" customWidth="1"/>
    <col min="8" max="8" width="12.85546875" style="35" customWidth="1"/>
    <col min="9" max="10" width="11.42578125" customWidth="1"/>
  </cols>
  <sheetData>
    <row r="1" spans="1:10" x14ac:dyDescent="0.25">
      <c r="A1" s="15"/>
      <c r="B1" s="16"/>
      <c r="C1" s="16"/>
      <c r="D1" s="17"/>
      <c r="E1" s="16"/>
      <c r="F1" s="16"/>
      <c r="G1" s="18"/>
      <c r="H1" s="19"/>
      <c r="I1" s="16"/>
      <c r="J1" s="16"/>
    </row>
    <row r="2" spans="1:10" ht="124.5" customHeight="1" x14ac:dyDescent="0.25">
      <c r="G2" s="23"/>
      <c r="H2" s="70" t="s">
        <v>50</v>
      </c>
    </row>
    <row r="3" spans="1:10" ht="27" customHeight="1" thickBot="1" x14ac:dyDescent="0.35">
      <c r="B3" s="130" t="s">
        <v>27</v>
      </c>
      <c r="C3" s="130"/>
      <c r="D3" s="130"/>
      <c r="E3" s="130"/>
      <c r="F3" s="130"/>
      <c r="G3" s="71">
        <v>45663</v>
      </c>
      <c r="H3" s="72">
        <v>47</v>
      </c>
    </row>
    <row r="4" spans="1:10" ht="15" customHeight="1" x14ac:dyDescent="0.25">
      <c r="A4" s="143" t="s">
        <v>3</v>
      </c>
      <c r="B4" s="131" t="s">
        <v>19</v>
      </c>
      <c r="C4" s="143" t="s">
        <v>4</v>
      </c>
      <c r="D4" s="134" t="s">
        <v>28</v>
      </c>
      <c r="E4" s="135"/>
      <c r="F4" s="136"/>
      <c r="G4" s="143" t="s">
        <v>29</v>
      </c>
      <c r="H4" s="150"/>
    </row>
    <row r="5" spans="1:10" ht="15.75" customHeight="1" x14ac:dyDescent="0.25">
      <c r="A5" s="144"/>
      <c r="B5" s="132"/>
      <c r="C5" s="144"/>
      <c r="D5" s="137"/>
      <c r="E5" s="138"/>
      <c r="F5" s="139"/>
      <c r="G5" s="144"/>
      <c r="H5" s="150"/>
    </row>
    <row r="6" spans="1:10" ht="18" customHeight="1" thickBot="1" x14ac:dyDescent="0.3">
      <c r="A6" s="145"/>
      <c r="B6" s="133"/>
      <c r="C6" s="145"/>
      <c r="D6" s="140"/>
      <c r="E6" s="141"/>
      <c r="F6" s="142"/>
      <c r="G6" s="144"/>
      <c r="H6" s="150"/>
    </row>
    <row r="7" spans="1:10" ht="21" thickBot="1" x14ac:dyDescent="0.3">
      <c r="A7" s="124" t="s">
        <v>30</v>
      </c>
      <c r="B7" s="125"/>
      <c r="C7" s="125"/>
      <c r="D7" s="125"/>
      <c r="E7" s="125"/>
      <c r="F7" s="125"/>
      <c r="G7" s="126"/>
      <c r="H7" s="51"/>
      <c r="I7" s="27"/>
    </row>
    <row r="8" spans="1:10" ht="18" thickBot="1" x14ac:dyDescent="0.3">
      <c r="A8" s="3">
        <v>20160</v>
      </c>
      <c r="B8" s="4" t="s">
        <v>35</v>
      </c>
      <c r="C8" s="56">
        <v>702758002</v>
      </c>
      <c r="D8" s="118" t="s">
        <v>5</v>
      </c>
      <c r="E8" s="119"/>
      <c r="F8" s="120"/>
      <c r="G8" s="24">
        <f>$H8*$H$3</f>
        <v>309.0532</v>
      </c>
      <c r="H8" s="84">
        <v>6.5755999999999997</v>
      </c>
      <c r="I8" s="14"/>
      <c r="J8" s="14"/>
    </row>
    <row r="9" spans="1:10" ht="30.75" thickBot="1" x14ac:dyDescent="0.3">
      <c r="A9" s="3">
        <v>86572</v>
      </c>
      <c r="B9" s="4" t="s">
        <v>55</v>
      </c>
      <c r="C9" s="56">
        <v>705808005</v>
      </c>
      <c r="D9" s="118" t="s">
        <v>6</v>
      </c>
      <c r="E9" s="119"/>
      <c r="F9" s="120"/>
      <c r="G9" s="24">
        <f>$H9*$H$3</f>
        <v>285.44509999999997</v>
      </c>
      <c r="H9" s="85">
        <v>6.0732999999999997</v>
      </c>
      <c r="I9" s="14"/>
      <c r="J9" s="14"/>
    </row>
    <row r="10" spans="1:10" ht="30.75" thickBot="1" x14ac:dyDescent="0.3">
      <c r="A10" s="3">
        <v>105995</v>
      </c>
      <c r="B10" s="4" t="s">
        <v>57</v>
      </c>
      <c r="C10" s="56">
        <v>779300002</v>
      </c>
      <c r="D10" s="118" t="s">
        <v>6</v>
      </c>
      <c r="E10" s="119"/>
      <c r="F10" s="120"/>
      <c r="G10" s="24">
        <f>$H10*$H$3</f>
        <v>361.19029999999998</v>
      </c>
      <c r="H10" s="85">
        <v>7.6848999999999998</v>
      </c>
      <c r="I10" s="14"/>
      <c r="J10" s="14"/>
    </row>
    <row r="11" spans="1:10" ht="18" thickBot="1" x14ac:dyDescent="0.3">
      <c r="A11" s="3">
        <v>20162</v>
      </c>
      <c r="B11" s="6" t="s">
        <v>36</v>
      </c>
      <c r="C11" s="56">
        <v>779950005</v>
      </c>
      <c r="D11" s="118" t="s">
        <v>7</v>
      </c>
      <c r="E11" s="119"/>
      <c r="F11" s="120"/>
      <c r="G11" s="24">
        <f>$H11*$H$3</f>
        <v>42.469200000000001</v>
      </c>
      <c r="H11" s="86">
        <v>0.90359999999999996</v>
      </c>
      <c r="I11" s="14"/>
      <c r="J11" s="14"/>
    </row>
    <row r="12" spans="1:10" ht="21" thickBot="1" x14ac:dyDescent="0.3">
      <c r="A12" s="124" t="s">
        <v>31</v>
      </c>
      <c r="B12" s="125"/>
      <c r="C12" s="125"/>
      <c r="D12" s="125"/>
      <c r="E12" s="125"/>
      <c r="F12" s="125"/>
      <c r="G12" s="126"/>
      <c r="H12" s="28"/>
      <c r="I12" s="14"/>
      <c r="J12" s="14"/>
    </row>
    <row r="13" spans="1:10" ht="18" thickBot="1" x14ac:dyDescent="0.35">
      <c r="A13" s="3">
        <v>58355</v>
      </c>
      <c r="B13" s="5" t="s">
        <v>37</v>
      </c>
      <c r="C13" s="57">
        <v>702832002</v>
      </c>
      <c r="D13" s="127" t="s">
        <v>10</v>
      </c>
      <c r="E13" s="128"/>
      <c r="F13" s="129"/>
      <c r="G13" s="24">
        <f t="shared" ref="G13:G17" si="0">$H13*$H$3</f>
        <v>1080.1117000000002</v>
      </c>
      <c r="H13" s="85">
        <v>22.981100000000001</v>
      </c>
      <c r="I13" s="14"/>
      <c r="J13" s="14"/>
    </row>
    <row r="14" spans="1:10" ht="18" thickBot="1" x14ac:dyDescent="0.35">
      <c r="A14" s="3">
        <v>58356</v>
      </c>
      <c r="B14" s="5" t="s">
        <v>38</v>
      </c>
      <c r="C14" s="57">
        <v>702832002</v>
      </c>
      <c r="D14" s="127" t="s">
        <v>11</v>
      </c>
      <c r="E14" s="128"/>
      <c r="F14" s="129"/>
      <c r="G14" s="24">
        <f t="shared" si="0"/>
        <v>396.04079999999999</v>
      </c>
      <c r="H14" s="87">
        <v>8.4263999999999992</v>
      </c>
      <c r="I14" s="14"/>
      <c r="J14" s="27"/>
    </row>
    <row r="15" spans="1:10" ht="18" thickBot="1" x14ac:dyDescent="0.35">
      <c r="A15" s="3">
        <v>20164</v>
      </c>
      <c r="B15" s="5" t="s">
        <v>39</v>
      </c>
      <c r="C15" s="57">
        <v>702825002</v>
      </c>
      <c r="D15" s="127" t="s">
        <v>10</v>
      </c>
      <c r="E15" s="128"/>
      <c r="F15" s="129"/>
      <c r="G15" s="24">
        <f t="shared" si="0"/>
        <v>712.0829</v>
      </c>
      <c r="H15" s="87">
        <v>15.150700000000001</v>
      </c>
      <c r="I15" s="14"/>
      <c r="J15" s="14"/>
    </row>
    <row r="16" spans="1:10" ht="18" customHeight="1" thickBot="1" x14ac:dyDescent="0.35">
      <c r="A16" s="3">
        <v>20728</v>
      </c>
      <c r="B16" s="5" t="s">
        <v>40</v>
      </c>
      <c r="C16" s="57">
        <v>702825002</v>
      </c>
      <c r="D16" s="127" t="s">
        <v>11</v>
      </c>
      <c r="E16" s="128"/>
      <c r="F16" s="129"/>
      <c r="G16" s="24">
        <f t="shared" si="0"/>
        <v>261.2636</v>
      </c>
      <c r="H16" s="87">
        <v>5.5587999999999997</v>
      </c>
      <c r="I16" s="14"/>
      <c r="J16" s="14"/>
    </row>
    <row r="17" spans="1:10" ht="30.75" thickBot="1" x14ac:dyDescent="0.35">
      <c r="A17" s="3">
        <v>58357</v>
      </c>
      <c r="B17" s="4" t="s">
        <v>41</v>
      </c>
      <c r="C17" s="57">
        <v>793238003</v>
      </c>
      <c r="D17" s="127" t="s">
        <v>8</v>
      </c>
      <c r="E17" s="128"/>
      <c r="F17" s="129"/>
      <c r="G17" s="24">
        <f t="shared" si="0"/>
        <v>49.951599999999999</v>
      </c>
      <c r="H17" s="86">
        <v>1.0628</v>
      </c>
      <c r="I17" s="14"/>
      <c r="J17" s="14"/>
    </row>
    <row r="18" spans="1:10" ht="45.75" thickBot="1" x14ac:dyDescent="0.3">
      <c r="A18" s="3">
        <v>55085</v>
      </c>
      <c r="B18" s="7" t="s">
        <v>42</v>
      </c>
      <c r="C18" s="56">
        <v>702886003</v>
      </c>
      <c r="D18" s="118" t="s">
        <v>8</v>
      </c>
      <c r="E18" s="119"/>
      <c r="F18" s="120"/>
      <c r="G18" s="24">
        <f>$H18*$H$3</f>
        <v>109.8249</v>
      </c>
      <c r="H18" s="85">
        <v>2.3367</v>
      </c>
      <c r="I18" s="26"/>
      <c r="J18" s="14"/>
    </row>
    <row r="19" spans="1:10" ht="18" thickBot="1" x14ac:dyDescent="0.3">
      <c r="A19" s="3">
        <v>20726</v>
      </c>
      <c r="B19" s="4" t="s">
        <v>48</v>
      </c>
      <c r="C19" s="52">
        <v>793039001</v>
      </c>
      <c r="D19" s="118" t="s">
        <v>12</v>
      </c>
      <c r="E19" s="119"/>
      <c r="F19" s="120"/>
      <c r="G19" s="24">
        <f>$H19*$H$3</f>
        <v>12.690000000000001</v>
      </c>
      <c r="H19" s="87">
        <v>0.27</v>
      </c>
      <c r="I19" s="14"/>
      <c r="J19" s="14"/>
    </row>
    <row r="20" spans="1:10" ht="21" thickBot="1" x14ac:dyDescent="0.3">
      <c r="A20" s="124" t="s">
        <v>32</v>
      </c>
      <c r="B20" s="125"/>
      <c r="C20" s="125"/>
      <c r="D20" s="125"/>
      <c r="E20" s="125"/>
      <c r="F20" s="125"/>
      <c r="G20" s="126"/>
      <c r="H20" s="25"/>
      <c r="I20" s="14"/>
      <c r="J20" s="14"/>
    </row>
    <row r="21" spans="1:10" ht="18" thickBot="1" x14ac:dyDescent="0.3">
      <c r="A21" s="8">
        <v>21035</v>
      </c>
      <c r="B21" s="67" t="s">
        <v>58</v>
      </c>
      <c r="C21" s="68">
        <v>793310001</v>
      </c>
      <c r="D21" s="121" t="s">
        <v>9</v>
      </c>
      <c r="E21" s="122"/>
      <c r="F21" s="123"/>
      <c r="G21" s="24">
        <f>$H21*$H$3</f>
        <v>1470.0472</v>
      </c>
      <c r="H21" s="87">
        <v>31.2776</v>
      </c>
      <c r="I21" s="14"/>
      <c r="J21" s="14"/>
    </row>
    <row r="22" spans="1:10" ht="36" customHeight="1" thickBot="1" x14ac:dyDescent="0.3">
      <c r="A22" s="53">
        <v>21036</v>
      </c>
      <c r="B22" s="69" t="s">
        <v>62</v>
      </c>
      <c r="C22" s="68">
        <v>793320001</v>
      </c>
      <c r="D22" s="146" t="s">
        <v>61</v>
      </c>
      <c r="E22" s="147"/>
      <c r="F22" s="148"/>
      <c r="G22" s="24">
        <f>$H22*$H$3</f>
        <v>1837.7375999999999</v>
      </c>
      <c r="H22" s="86">
        <v>39.1008</v>
      </c>
      <c r="I22" s="14"/>
      <c r="J22" s="14"/>
    </row>
    <row r="23" spans="1:10" ht="17.25" x14ac:dyDescent="0.3">
      <c r="A23" s="29"/>
      <c r="B23" s="30"/>
      <c r="C23" s="31"/>
      <c r="D23" s="32"/>
      <c r="E23" s="32"/>
      <c r="F23" s="32"/>
      <c r="G23" s="33"/>
      <c r="H23" s="34"/>
      <c r="I23" s="14"/>
      <c r="J23" s="14"/>
    </row>
    <row r="24" spans="1:10" ht="18.75" customHeight="1" x14ac:dyDescent="0.3">
      <c r="A24" s="151" t="s">
        <v>33</v>
      </c>
      <c r="B24" s="151"/>
      <c r="C24" s="151"/>
      <c r="D24" s="151"/>
      <c r="E24" s="151"/>
      <c r="F24" s="151"/>
      <c r="G24" s="151"/>
      <c r="H24" s="54"/>
      <c r="I24" s="55"/>
      <c r="J24" s="14"/>
    </row>
    <row r="25" spans="1:10" ht="18.75" customHeight="1" x14ac:dyDescent="0.3">
      <c r="A25" s="151" t="s">
        <v>53</v>
      </c>
      <c r="B25" s="151"/>
      <c r="C25" s="151"/>
      <c r="D25" s="151"/>
      <c r="E25" s="151"/>
      <c r="F25" s="151"/>
      <c r="G25" s="151"/>
      <c r="H25" s="54"/>
      <c r="I25" s="55"/>
      <c r="J25" s="14"/>
    </row>
    <row r="26" spans="1:10" ht="35.25" customHeight="1" x14ac:dyDescent="0.25">
      <c r="A26" s="152" t="s">
        <v>34</v>
      </c>
      <c r="B26" s="152"/>
      <c r="C26" s="152"/>
      <c r="D26" s="152"/>
      <c r="E26" s="152"/>
      <c r="F26" s="152"/>
      <c r="G26" s="152"/>
      <c r="H26" s="152"/>
    </row>
    <row r="27" spans="1:10" ht="16.5" x14ac:dyDescent="0.25">
      <c r="B27" s="50"/>
      <c r="C27" s="36"/>
      <c r="D27" s="23"/>
      <c r="E27" s="37"/>
      <c r="F27" s="23"/>
      <c r="G27" s="23"/>
    </row>
    <row r="28" spans="1:10" ht="18" customHeight="1" x14ac:dyDescent="0.3">
      <c r="A28" s="149" t="s">
        <v>49</v>
      </c>
      <c r="B28" s="149"/>
      <c r="C28" s="149"/>
      <c r="D28" s="149"/>
      <c r="E28" s="149"/>
      <c r="F28" s="149"/>
      <c r="G28" s="149"/>
    </row>
    <row r="29" spans="1:10" x14ac:dyDescent="0.25">
      <c r="B29" s="37"/>
      <c r="C29" s="37"/>
      <c r="D29" s="37"/>
      <c r="E29" s="37"/>
      <c r="F29" s="23"/>
      <c r="G29" s="23"/>
    </row>
    <row r="30" spans="1:10" x14ac:dyDescent="0.25">
      <c r="B30" s="37"/>
      <c r="C30" s="37"/>
      <c r="D30" s="37"/>
      <c r="E30" s="37"/>
      <c r="F30" s="23"/>
      <c r="G30" s="23"/>
    </row>
    <row r="31" spans="1:10" x14ac:dyDescent="0.25">
      <c r="B31" s="37"/>
      <c r="C31" s="37"/>
      <c r="D31" s="37"/>
      <c r="E31" s="37"/>
      <c r="F31" s="23"/>
      <c r="G31" s="23"/>
    </row>
  </sheetData>
  <sheetProtection algorithmName="SHA-512" hashValue="oCJBMLfWUlrulqznMK4ZqL0xCh8IIUed3GhBdxwcZhmRXxMlowx1beDNKd9g6la7qB9F16Tz7oTxKMbVt0G3gg==" saltValue="0v2lA87ew89az7J3nABm6w==" spinCount="100000" sheet="1" formatCells="0" formatColumns="0" formatRows="0" insertColumns="0" insertRows="0" insertHyperlinks="0" deleteColumns="0" deleteRows="0" sort="0" autoFilter="0" pivotTables="0"/>
  <mergeCells count="27">
    <mergeCell ref="D22:F22"/>
    <mergeCell ref="A28:G28"/>
    <mergeCell ref="D9:F9"/>
    <mergeCell ref="H4:H6"/>
    <mergeCell ref="A7:G7"/>
    <mergeCell ref="D8:F8"/>
    <mergeCell ref="D10:F10"/>
    <mergeCell ref="G4:G6"/>
    <mergeCell ref="A20:G20"/>
    <mergeCell ref="A24:G24"/>
    <mergeCell ref="A25:G25"/>
    <mergeCell ref="D11:F11"/>
    <mergeCell ref="D14:F14"/>
    <mergeCell ref="D15:F15"/>
    <mergeCell ref="D18:F18"/>
    <mergeCell ref="A26:H26"/>
    <mergeCell ref="B3:F3"/>
    <mergeCell ref="B4:B6"/>
    <mergeCell ref="D4:F6"/>
    <mergeCell ref="A4:A6"/>
    <mergeCell ref="C4:C6"/>
    <mergeCell ref="D19:F19"/>
    <mergeCell ref="D21:F21"/>
    <mergeCell ref="A12:G12"/>
    <mergeCell ref="D13:F13"/>
    <mergeCell ref="D16:F16"/>
    <mergeCell ref="D17:F17"/>
  </mergeCells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Worksheet____3"/>
  <dimension ref="A1:H6"/>
  <sheetViews>
    <sheetView workbookViewId="0">
      <selection activeCell="A3" sqref="A3"/>
    </sheetView>
  </sheetViews>
  <sheetFormatPr defaultRowHeight="15" x14ac:dyDescent="0.25"/>
  <cols>
    <col min="2" max="2" width="72.42578125" bestFit="1" customWidth="1"/>
  </cols>
  <sheetData>
    <row r="1" spans="1:8" s="14" customFormat="1" ht="16.5" thickBot="1" x14ac:dyDescent="0.3">
      <c r="B1" s="62" t="s">
        <v>51</v>
      </c>
      <c r="C1" s="63"/>
      <c r="D1"/>
      <c r="E1"/>
      <c r="F1"/>
      <c r="G1"/>
      <c r="H1"/>
    </row>
    <row r="2" spans="1:8" ht="15.75" thickBot="1" x14ac:dyDescent="0.3">
      <c r="A2" s="3">
        <v>58355</v>
      </c>
      <c r="B2" s="5" t="s">
        <v>37</v>
      </c>
      <c r="C2" s="64"/>
    </row>
    <row r="3" spans="1:8" ht="15.75" thickBot="1" x14ac:dyDescent="0.3">
      <c r="A3" s="3">
        <v>58356</v>
      </c>
      <c r="B3" s="5" t="s">
        <v>38</v>
      </c>
    </row>
    <row r="4" spans="1:8" ht="16.5" thickBot="1" x14ac:dyDescent="0.3">
      <c r="A4" s="11"/>
      <c r="B4" s="61" t="s">
        <v>52</v>
      </c>
    </row>
    <row r="5" spans="1:8" ht="15.75" thickBot="1" x14ac:dyDescent="0.3">
      <c r="A5" s="3">
        <v>20164</v>
      </c>
      <c r="B5" s="5" t="s">
        <v>39</v>
      </c>
    </row>
    <row r="6" spans="1:8" ht="15.75" thickBot="1" x14ac:dyDescent="0.3">
      <c r="A6" s="3">
        <v>20728</v>
      </c>
      <c r="B6" s="5" t="s">
        <v>43</v>
      </c>
    </row>
  </sheetData>
  <sheetProtection algorithmName="SHA-512" hashValue="+r3Ev6ZEQbiX2KQVtYpiDJNHNXkfZNWISqtyGh92bH2o1ct62pdOHR7rOZD89BI26/Z6dauvArT8HYpfBoWdIw==" saltValue="4V527D4B/ZTzAFTpzvAoM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вертикальне відкривання</vt:lpstr>
      <vt:lpstr>вертикальне з с. комп. ваги С8</vt:lpstr>
      <vt:lpstr>Прайс</vt:lpstr>
      <vt:lpstr>Варіанти</vt:lpstr>
      <vt:lpstr>'вертикальне відкривання'!Область_друку</vt:lpstr>
    </vt:vector>
  </TitlesOfParts>
  <Company>Kronas,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Дзвоник Виктор</cp:lastModifiedBy>
  <cp:lastPrinted>2019-11-25T08:23:08Z</cp:lastPrinted>
  <dcterms:created xsi:type="dcterms:W3CDTF">2019-11-22T08:20:20Z</dcterms:created>
  <dcterms:modified xsi:type="dcterms:W3CDTF">2025-01-04T11:57:06Z</dcterms:modified>
</cp:coreProperties>
</file>